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<sst xmlns="http://schemas.openxmlformats.org/spreadsheetml/2006/main" count="2034" uniqueCount="290">
  <si>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</si>
  <si>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</si>
  <si>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</si>
  <si>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</si>
  <si>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</si>
  <si>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</si>
  <si>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</si>
  <si>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</si>
  <si>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</si>
  <si>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</si>
  <si>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</si>
  <si>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</si>
  <si>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</si>
  <si>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</si>
  <si>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</si>
  <si>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</si>
  <si>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</si>
  <si>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</si>
  <si>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</si>
  <si>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</si>
  <si>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</si>
  <si>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</si>
  <si>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</si>
  <si>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</si>
  <si>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</si>
  <si>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</si>
  <si>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</si>
  <si>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</si>
  <si>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</si>
  <si>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</si>
  <si>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</si>
  <si>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</si>
  <si>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</si>
  <si>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</si>
  <si>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</si>
  <si>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</si>
  <si>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</si>
  <si>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</si>
  <si>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</si>
  <si>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</si>
  <si>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</si>
  <si>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</si>
  <si>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</si>
  <si>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</si>
  <si>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</si>
  <si>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</si>
  <si>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</si>
  <si>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</si>
  <si>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</si>
  <si>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</si>
  <si>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</si>
  <si>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</si>
  <si>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</si>
  <si>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</si>
  <si>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</si>
  <si>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</si>
  <si>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</si>
  <si>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</si>
  <si>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</si>
  <si>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</si>
  <si>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</si>
  <si>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</si>
  <si>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</si>
  <si>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</si>
  <si>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</si>
  <si>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</si>
  <si>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</si>
  <si>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</si>
  <si>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</si>
  <si>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</si>
  <si>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</si>
  <si>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</si>
  <si>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</si>
  <si>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</si>
  <si>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</si>
  <si>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</si>
  <si>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</si>
  <si>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</si>
  <si>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</si>
  <si>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</si>
  <si>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</si>
  <si>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</si>
  <si>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</si>
  <si>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</si>
  <si>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</si>
  <si>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</si>
  <si>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</si>
  <si>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</si>
  <si>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</si>
  <si>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</si>
  <si>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</si>
  <si>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</si>
  <si>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</si>
  <si>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</si>
  <si>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</si>
  <si>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</si>
  <si>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</si>
  <si>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</si>
  <si>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</si>
  <si>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</si>
  <si>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</si>
  <si>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</si>
  <si>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</si>
  <si>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</si>
  <si>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</si>
  <si>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</si>
  <si>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</si>
  <si>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</si>
  <si>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</si>
  <si>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</si>
  <si>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</si>
  <si>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</si>
  <si>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</si>
  <si>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</si>
  <si>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</si>
  <si>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</si>
  <si>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</si>
  <si>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</si>
  <si>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</si>
  <si>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</si>
  <si>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</si>
  <si>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</si>
  <si>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</si>
  <si>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</si>
  <si>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</si>
  <si>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</si>
  <si>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</si>
  <si>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</si>
  <si>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</si>
  <si>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</si>
  <si>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</si>
  <si>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</si>
  <si>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</si>
  <si>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</si>
  <si>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</si>
  <si>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</si>
  <si>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</si>
  <si>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</si>
  <si>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</si>
  <si>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</si>
  <si>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</si>
  <si>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</si>
  <si>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</si>
  <si>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</si>
  <si>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</si>
  <si>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</si>
  <si>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</si>
  <si>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</si>
  <si>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</si>
  <si>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</si>
  <si>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</si>
  <si>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</si>
  <si>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</si>
  <si>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</si>
  <si>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</si>
  <si>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</si>
  <si>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</si>
  <si>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</si>
  <si>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</si>
  <si>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</si>
  <si>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</si>
  <si>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</si>
  <si>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</si>
  <si>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</si>
  <si>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</si>
  <si>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</si>
  <si>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</si>
  <si>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</si>
  <si>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</si>
  <si>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</si>
  <si>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</si>
  <si>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</si>
  <si>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</si>
  <si>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</si>
  <si>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</si>
  <si>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</si>
  <si>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</si>
  <si>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</si>
  <si>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</si>
  <si>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</si>
  <si>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</si>
  <si>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</si>
  <si>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</si>
  <si>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</si>
  <si>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</si>
  <si>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</si>
  <si>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</si>
  <si>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</si>
  <si>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</si>
  <si>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</si>
  <si>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</si>
  <si>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</si>
  <si>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</si>
  <si>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</si>
  <si>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</si>
  <si>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</si>
  <si>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</si>
  <si>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</si>
  <si>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</si>
  <si>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</si>
  <si>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</si>
  <si>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</si>
  <si>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</si>
  <si>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</si>
  <si>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</si>
  <si>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</si>
  <si>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</si>
  <si>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</si>
  <si>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</si>
  <si>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</si>
  <si>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</si>
  <si>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</si>
  <si>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</si>
  <si>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</si>
  <si>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</si>
  <si>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</si>
  <si>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</si>
  <si>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</si>
  <si>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</si>
  <si>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</si>
  <si>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</si>
  <si>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</si>
  <si>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</si>
  <si>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</si>
  <si>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</si>
  <si>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</si>
  <si>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</si>
  <si>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</si>
  <si>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</si>
  <si>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</si>
  <si>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</si>
  <si>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</si>
  <si>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</si>
  <si>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</si>
  <si>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</si>
  <si>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</si>
  <si>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</si>
  <si>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</si>
  <si>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</si>
  <si>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</si>
  <si>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</si>
  <si>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</si>
  <si>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</si>
  <si>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</si>
  <si>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</si>
  <si>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</si>
  <si>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</si>
  <si>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</si>
  <si>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</si>
  <si>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</si>
  <si>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</si>
  <si>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</si>
  <si>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</si>
  <si>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</si>
  <si>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</si>
  <si>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</si>
  <si>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</si>
  <si>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</si>
  <si>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</si>
  <si>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</si>
  <si>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</si>
  <si>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</si>
  <si>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</si>
  <si>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</si>
  <si>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</si>
  <si>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</si>
  <si>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</si>
  <si>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</si>
  <si>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</si>
  <si>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</si>
  <si>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</si>
  <si>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</si>
  <si>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</si>
  <si>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</si>
  <si>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</si>
  <si>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</si>
  <si>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</si>
  <si>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</si>
  <si>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</si>
  <si>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</si>
  <si>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</si>
  <si>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</si>
  <si>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</si>
  <si>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</si>
  <si>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</si>
  <si>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</si>
  <si>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</si>
  <si>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</si>
  <si>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</si>
  <si>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15.10.14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</si>
</sst>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0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21519246.939999998</v>
          </cell>
        </row>
      </sheetData>
      <sheetData sheetId="22">
        <row r="28">
          <cell r="C28">
            <v>4870376.3</v>
          </cell>
        </row>
      </sheetData>
      <sheetData sheetId="23">
        <row r="28">
          <cell r="C28">
            <v>3219411</v>
          </cell>
        </row>
      </sheetData>
      <sheetData sheetId="24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47" sqref="G14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364830.32999999996</v>
      </c>
      <c r="G8" s="22">
        <f aca="true" t="shared" si="0" ref="G8:G30">F8-E8</f>
        <v>-26173.30999999994</v>
      </c>
      <c r="H8" s="51">
        <f>F8/E8*100</f>
        <v>93.30612113994643</v>
      </c>
      <c r="I8" s="36">
        <f aca="true" t="shared" si="1" ref="I8:I17">F8-D8</f>
        <v>-123645.97000000003</v>
      </c>
      <c r="J8" s="36">
        <f aca="true" t="shared" si="2" ref="J8:J14">F8/D8*100</f>
        <v>74.68741676924755</v>
      </c>
      <c r="K8" s="36">
        <f>F8-381548.5</f>
        <v>-16718.170000000042</v>
      </c>
      <c r="L8" s="136">
        <f>F8/381548.5</f>
        <v>0.956183368562581</v>
      </c>
      <c r="M8" s="22">
        <f>M10+M19+M33+M56+M68+M30</f>
        <v>39644.799999999974</v>
      </c>
      <c r="N8" s="22">
        <f>N10+N19+N33+N56+N68+N30</f>
        <v>16540.27999999999</v>
      </c>
      <c r="O8" s="36">
        <f aca="true" t="shared" si="3" ref="O8:O71">N8-M8</f>
        <v>-23104.519999999982</v>
      </c>
      <c r="P8" s="36">
        <f>F8/M8*100</f>
        <v>920.2476239002345</v>
      </c>
      <c r="Q8" s="36">
        <f>N8-37261.3</f>
        <v>-20721.02000000001</v>
      </c>
      <c r="R8" s="134">
        <f>N8/37261.3</f>
        <v>0.44389970290891595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297579.11</v>
      </c>
      <c r="G9" s="22">
        <f t="shared" si="0"/>
        <v>297579.11</v>
      </c>
      <c r="H9" s="20"/>
      <c r="I9" s="56">
        <f t="shared" si="1"/>
        <v>-89434.09000000003</v>
      </c>
      <c r="J9" s="56">
        <f t="shared" si="2"/>
        <v>76.89120422765941</v>
      </c>
      <c r="K9" s="56"/>
      <c r="L9" s="135"/>
      <c r="M9" s="20">
        <f>M10+M17</f>
        <v>32246.599999999977</v>
      </c>
      <c r="N9" s="20">
        <f>N10+N17</f>
        <v>14965.429999999993</v>
      </c>
      <c r="O9" s="36">
        <f t="shared" si="3"/>
        <v>-17281.169999999984</v>
      </c>
      <c r="P9" s="56">
        <f>F9/M9*100</f>
        <v>922.8232123696769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297579.11</v>
      </c>
      <c r="G10" s="49">
        <f t="shared" si="0"/>
        <v>-22126.98999999999</v>
      </c>
      <c r="H10" s="40">
        <f aca="true" t="shared" si="4" ref="H10:H17">F10/E10*100</f>
        <v>93.0789590814814</v>
      </c>
      <c r="I10" s="56">
        <f t="shared" si="1"/>
        <v>-89434.09000000003</v>
      </c>
      <c r="J10" s="56">
        <f t="shared" si="2"/>
        <v>76.89120422765941</v>
      </c>
      <c r="K10" s="141">
        <f>F10-302092.5</f>
        <v>-4513.390000000014</v>
      </c>
      <c r="L10" s="142">
        <f>F10/302092.5</f>
        <v>0.9850595761232073</v>
      </c>
      <c r="M10" s="40">
        <f>E10-вересень!E10</f>
        <v>32246.599999999977</v>
      </c>
      <c r="N10" s="40">
        <f>F10-вересень!F10</f>
        <v>14965.429999999993</v>
      </c>
      <c r="O10" s="53">
        <f t="shared" si="3"/>
        <v>-17281.169999999984</v>
      </c>
      <c r="P10" s="56">
        <f aca="true" t="shared" si="5" ref="P10:P17">N10/M10*100</f>
        <v>46.40932687477131</v>
      </c>
      <c r="Q10" s="141">
        <f>N10-29418.1</f>
        <v>-14452.670000000006</v>
      </c>
      <c r="R10" s="142">
        <f>N10/29418.1</f>
        <v>0.5087150427797851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-392.37</v>
      </c>
      <c r="G19" s="49">
        <f t="shared" si="0"/>
        <v>-1459.9699999999998</v>
      </c>
      <c r="H19" s="40">
        <f aca="true" t="shared" si="6" ref="H19:H29">F19/E19*100</f>
        <v>-36.75252903709254</v>
      </c>
      <c r="I19" s="56">
        <f aca="true" t="shared" si="7" ref="I19:I29">F19-D19</f>
        <v>-1392.37</v>
      </c>
      <c r="J19" s="56">
        <f aca="true" t="shared" si="8" ref="J19:J29">F19/D19*100</f>
        <v>-39.237</v>
      </c>
      <c r="K19" s="167">
        <f>F19-6843.6</f>
        <v>-7235.97</v>
      </c>
      <c r="L19" s="168">
        <f>F19/6843.6</f>
        <v>-0.05733385937226021</v>
      </c>
      <c r="M19" s="40">
        <f>E19-вересень!E19</f>
        <v>11</v>
      </c>
      <c r="N19" s="40">
        <f>F19-вересень!F19</f>
        <v>12.100000000000023</v>
      </c>
      <c r="O19" s="53">
        <f t="shared" si="3"/>
        <v>1.1000000000000227</v>
      </c>
      <c r="P19" s="56">
        <f aca="true" t="shared" si="9" ref="P19:P29">N19/M19*100</f>
        <v>110.00000000000021</v>
      </c>
      <c r="Q19" s="56">
        <f>N19-364.5</f>
        <v>-352.4</v>
      </c>
      <c r="R19" s="135">
        <f>N19/364.5</f>
        <v>0.03319615912208511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106.61</v>
      </c>
      <c r="G29" s="49">
        <f t="shared" si="0"/>
        <v>-700.99</v>
      </c>
      <c r="H29" s="40">
        <f t="shared" si="6"/>
        <v>13.20084200099059</v>
      </c>
      <c r="I29" s="56">
        <f t="shared" si="7"/>
        <v>-823.39</v>
      </c>
      <c r="J29" s="56">
        <f t="shared" si="8"/>
        <v>11.463440860215053</v>
      </c>
      <c r="K29" s="148">
        <f>F29-2915.3</f>
        <v>-2808.69</v>
      </c>
      <c r="L29" s="149">
        <f>F29/2915.3</f>
        <v>0.036569135251946626</v>
      </c>
      <c r="M29" s="40">
        <f>E29-вересень!E29</f>
        <v>11</v>
      </c>
      <c r="N29" s="40">
        <f>F29-вересень!F29</f>
        <v>11</v>
      </c>
      <c r="O29" s="148">
        <f t="shared" si="3"/>
        <v>0</v>
      </c>
      <c r="P29" s="145">
        <f t="shared" si="9"/>
        <v>100</v>
      </c>
      <c r="Q29" s="148">
        <f>N29-55.3</f>
        <v>-44.3</v>
      </c>
      <c r="R29" s="149">
        <f>N29/55.3</f>
        <v>0.19891500904159132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3.31</v>
      </c>
      <c r="G30" s="49">
        <f t="shared" si="0"/>
        <v>-24.19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E30-вересень!E30</f>
        <v>0.5</v>
      </c>
      <c r="N30" s="40">
        <f>F30-вересень!F30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62316.82</v>
      </c>
      <c r="G33" s="49">
        <f aca="true" t="shared" si="14" ref="G33:G72">F33-E33</f>
        <v>-2219.019999999997</v>
      </c>
      <c r="H33" s="40">
        <f aca="true" t="shared" si="15" ref="H33:H67">F33/E33*100</f>
        <v>96.56156950928353</v>
      </c>
      <c r="I33" s="56">
        <f>F33-D33</f>
        <v>-31249.18</v>
      </c>
      <c r="J33" s="56">
        <f aca="true" t="shared" si="16" ref="J33:J72">F33/D33*100</f>
        <v>66.60199217664537</v>
      </c>
      <c r="K33" s="141">
        <f>F33-67415.8</f>
        <v>-5098.980000000003</v>
      </c>
      <c r="L33" s="142">
        <f>F33/67415.8</f>
        <v>0.9243652081559516</v>
      </c>
      <c r="M33" s="40">
        <f>E33-вересень!E33</f>
        <v>6833.699999999997</v>
      </c>
      <c r="N33" s="40">
        <f>F33-вересень!F33</f>
        <v>1084.3600000000006</v>
      </c>
      <c r="O33" s="53">
        <f t="shared" si="3"/>
        <v>-5749.3399999999965</v>
      </c>
      <c r="P33" s="56">
        <f aca="true" t="shared" si="17" ref="P33:P67">N33/M33*100</f>
        <v>15.867831482213166</v>
      </c>
      <c r="Q33" s="141">
        <f>N33-7002.6</f>
        <v>-5918.24</v>
      </c>
      <c r="R33" s="142">
        <f>N33/7002.6</f>
        <v>0.15485105532230894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46396.81</v>
      </c>
      <c r="G55" s="144">
        <f t="shared" si="14"/>
        <v>-1008.7300000000032</v>
      </c>
      <c r="H55" s="146">
        <f t="shared" si="15"/>
        <v>97.87212633797652</v>
      </c>
      <c r="I55" s="145">
        <f t="shared" si="18"/>
        <v>-23869.190000000002</v>
      </c>
      <c r="J55" s="145">
        <f t="shared" si="16"/>
        <v>66.03024222241197</v>
      </c>
      <c r="K55" s="148">
        <f>F55-49156.62</f>
        <v>-2759.810000000005</v>
      </c>
      <c r="L55" s="149">
        <f>F55/49156.62</f>
        <v>0.9438567989418312</v>
      </c>
      <c r="M55" s="40">
        <f>E55-вересень!E55</f>
        <v>4933.700000000004</v>
      </c>
      <c r="N55" s="40">
        <f>F55-вересень!F55</f>
        <v>975.4099999999962</v>
      </c>
      <c r="O55" s="148">
        <f t="shared" si="3"/>
        <v>-3958.290000000008</v>
      </c>
      <c r="P55" s="148">
        <f t="shared" si="17"/>
        <v>19.770354906054184</v>
      </c>
      <c r="Q55" s="160">
        <f>N55-5343.11</f>
        <v>-4367.7000000000035</v>
      </c>
      <c r="R55" s="161">
        <f>N55/5343.11</f>
        <v>0.18255472936173806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1.51+5320.41</f>
        <v>5321.92</v>
      </c>
      <c r="G56" s="49">
        <f t="shared" si="14"/>
        <v>-344.5799999999999</v>
      </c>
      <c r="H56" s="40">
        <f t="shared" si="15"/>
        <v>93.91899761757699</v>
      </c>
      <c r="I56" s="56">
        <f t="shared" si="18"/>
        <v>-1538.08</v>
      </c>
      <c r="J56" s="56">
        <f t="shared" si="16"/>
        <v>77.57900874635568</v>
      </c>
      <c r="K56" s="56">
        <f>F56-5173.5</f>
        <v>148.42000000000007</v>
      </c>
      <c r="L56" s="135">
        <f>F56/5173.5</f>
        <v>1.0286885087464965</v>
      </c>
      <c r="M56" s="40">
        <f>E56-вересень!E56</f>
        <v>553</v>
      </c>
      <c r="N56" s="40">
        <f>F56-вересень!F56</f>
        <v>478.3899999999994</v>
      </c>
      <c r="O56" s="53">
        <f t="shared" si="3"/>
        <v>-74.61000000000058</v>
      </c>
      <c r="P56" s="56">
        <f t="shared" si="17"/>
        <v>86.50813743218797</v>
      </c>
      <c r="Q56" s="56">
        <f>N56-479</f>
        <v>-0.6100000000005821</v>
      </c>
      <c r="R56" s="135">
        <f>N56/479</f>
        <v>0.9987265135699361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F68-(-2)</f>
        <v>3.54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N68-(-0.3)</f>
        <v>0.3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10671.04</v>
      </c>
      <c r="G74" s="50">
        <f aca="true" t="shared" si="24" ref="G74:G92">F74-E74</f>
        <v>-3025.459999999999</v>
      </c>
      <c r="H74" s="51">
        <f aca="true" t="shared" si="25" ref="H74:H87">F74/E74*100</f>
        <v>77.91070711495638</v>
      </c>
      <c r="I74" s="36">
        <f aca="true" t="shared" si="26" ref="I74:I92">F74-D74</f>
        <v>-7687.259999999998</v>
      </c>
      <c r="J74" s="36">
        <f aca="true" t="shared" si="27" ref="J74:J92">F74/D74*100</f>
        <v>58.126514982324075</v>
      </c>
      <c r="K74" s="36">
        <f>F74-16325.3</f>
        <v>-5654.259999999998</v>
      </c>
      <c r="L74" s="136">
        <f>F74/16325.3</f>
        <v>0.6536504689040937</v>
      </c>
      <c r="M74" s="22">
        <f>M77+M86+M88+M89+M94+M95+M96+M97+M99+M87+M104</f>
        <v>1516.5</v>
      </c>
      <c r="N74" s="22">
        <f>N77+N86+N88+N89+N94+N95+N96+N97+N99+N32+N104+N87+N103</f>
        <v>911.6069999999999</v>
      </c>
      <c r="O74" s="55">
        <f aca="true" t="shared" si="28" ref="O74:O92">N74-M74</f>
        <v>-604.8930000000001</v>
      </c>
      <c r="P74" s="36">
        <f>N74/M74*100</f>
        <v>60.1125618199802</v>
      </c>
      <c r="Q74" s="36">
        <f>N74-1739.9</f>
        <v>-828.2930000000002</v>
      </c>
      <c r="R74" s="136">
        <f>N74/1739.9</f>
        <v>0.523942180585091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279.53</v>
      </c>
      <c r="G87" s="49">
        <f t="shared" si="24"/>
        <v>59.52999999999997</v>
      </c>
      <c r="H87" s="40">
        <f t="shared" si="25"/>
        <v>127.05909090909088</v>
      </c>
      <c r="I87" s="56">
        <f t="shared" si="26"/>
        <v>-220.47000000000003</v>
      </c>
      <c r="J87" s="56">
        <f t="shared" si="27"/>
        <v>55.90599999999999</v>
      </c>
      <c r="K87" s="56">
        <f>F87-222.2</f>
        <v>57.329999999999984</v>
      </c>
      <c r="L87" s="135">
        <f>F87/222.2</f>
        <v>1.2580108010801079</v>
      </c>
      <c r="M87" s="40">
        <f>E87-вересень!E87</f>
        <v>0</v>
      </c>
      <c r="N87" s="40">
        <f>F87-вересень!F87</f>
        <v>7.279999999999973</v>
      </c>
      <c r="O87" s="53">
        <f t="shared" si="28"/>
        <v>7.279999999999973</v>
      </c>
      <c r="P87" s="56" t="e">
        <f t="shared" si="29"/>
        <v>#DIV/0!</v>
      </c>
      <c r="Q87" s="56">
        <f>N87-11.9</f>
        <v>-4.620000000000028</v>
      </c>
      <c r="R87" s="135">
        <f>N87/11.9</f>
        <v>0.6117647058823507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108.17</v>
      </c>
      <c r="G89" s="49">
        <f t="shared" si="24"/>
        <v>-35.83</v>
      </c>
      <c r="H89" s="40">
        <f>F89/E89*100</f>
        <v>75.11805555555556</v>
      </c>
      <c r="I89" s="56">
        <f t="shared" si="26"/>
        <v>-66.83</v>
      </c>
      <c r="J89" s="56">
        <f t="shared" si="27"/>
        <v>61.81142857142857</v>
      </c>
      <c r="K89" s="56">
        <f>F89-137.6</f>
        <v>-29.429999999999993</v>
      </c>
      <c r="L89" s="135">
        <f>F89/137.6</f>
        <v>0.7861191860465117</v>
      </c>
      <c r="M89" s="40">
        <f>E89-вересень!E89</f>
        <v>15</v>
      </c>
      <c r="N89" s="40">
        <f>F89-вересень!F89</f>
        <v>10.219999999999999</v>
      </c>
      <c r="O89" s="53">
        <f t="shared" si="28"/>
        <v>-4.780000000000001</v>
      </c>
      <c r="P89" s="56">
        <f>N89/M89*100</f>
        <v>68.13333333333333</v>
      </c>
      <c r="Q89" s="56">
        <f>N89-14.4</f>
        <v>-4.1800000000000015</v>
      </c>
      <c r="R89" s="135">
        <f>N89/14.4</f>
        <v>0.7097222222222221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5936.51</v>
      </c>
      <c r="G95" s="49">
        <f t="shared" si="31"/>
        <v>105.01000000000022</v>
      </c>
      <c r="H95" s="40">
        <f>F95/E95*100</f>
        <v>101.80073737460344</v>
      </c>
      <c r="I95" s="56">
        <f t="shared" si="32"/>
        <v>-1063.4899999999998</v>
      </c>
      <c r="J95" s="56">
        <f>F95/D95*100</f>
        <v>84.80728571428571</v>
      </c>
      <c r="K95" s="56">
        <f>F95-6170</f>
        <v>-233.48999999999978</v>
      </c>
      <c r="L95" s="135">
        <f>F95/6170</f>
        <v>0.9621572123176662</v>
      </c>
      <c r="M95" s="40">
        <f>E95-вересень!E95</f>
        <v>575</v>
      </c>
      <c r="N95" s="40">
        <f>F95-вересень!F95</f>
        <v>571.0900000000001</v>
      </c>
      <c r="O95" s="53">
        <f t="shared" si="33"/>
        <v>-3.9099999999998545</v>
      </c>
      <c r="P95" s="56">
        <f>N95/M95*100</f>
        <v>99.32000000000004</v>
      </c>
      <c r="Q95" s="56">
        <f>N95-652.5</f>
        <v>-81.40999999999985</v>
      </c>
      <c r="R95" s="135">
        <f>N95/652.5</f>
        <v>0.875233716475096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827.53</v>
      </c>
      <c r="G96" s="49">
        <f t="shared" si="31"/>
        <v>-76.97000000000003</v>
      </c>
      <c r="H96" s="40">
        <f>F96/E96*100</f>
        <v>91.49032614704257</v>
      </c>
      <c r="I96" s="56">
        <f t="shared" si="32"/>
        <v>-372.47</v>
      </c>
      <c r="J96" s="56">
        <f>F96/D96*100</f>
        <v>68.96083333333333</v>
      </c>
      <c r="K96" s="56">
        <f>F96-930</f>
        <v>-102.47000000000003</v>
      </c>
      <c r="L96" s="135">
        <f>F96/930</f>
        <v>0.8898172043010752</v>
      </c>
      <c r="M96" s="40">
        <f>E96-вересень!E96</f>
        <v>110</v>
      </c>
      <c r="N96" s="40">
        <f>F96-вересень!F96</f>
        <v>45.14999999999998</v>
      </c>
      <c r="O96" s="53">
        <f t="shared" si="33"/>
        <v>-64.85000000000002</v>
      </c>
      <c r="P96" s="56">
        <f>N96/M96*100</f>
        <v>41.045454545454525</v>
      </c>
      <c r="Q96" s="56">
        <f>N96-134.5</f>
        <v>-89.35000000000002</v>
      </c>
      <c r="R96" s="135">
        <f>N96/134.5</f>
        <v>0.3356877323420073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3371.7</v>
      </c>
      <c r="G99" s="49">
        <f t="shared" si="31"/>
        <v>34.69999999999982</v>
      </c>
      <c r="H99" s="40">
        <f>F99/E99*100</f>
        <v>101.03985615822594</v>
      </c>
      <c r="I99" s="56">
        <f t="shared" si="32"/>
        <v>-1201</v>
      </c>
      <c r="J99" s="56">
        <f>F99/D99*100</f>
        <v>73.73542983357754</v>
      </c>
      <c r="K99" s="56">
        <f>F99-3845.9</f>
        <v>-474.2000000000003</v>
      </c>
      <c r="L99" s="135">
        <f>F99/3845.9</f>
        <v>0.8766998621909046</v>
      </c>
      <c r="M99" s="40">
        <f>E99-вересень!E99</f>
        <v>330</v>
      </c>
      <c r="N99" s="40">
        <f>F99-вересень!F99</f>
        <v>277.86699999999973</v>
      </c>
      <c r="O99" s="53">
        <f t="shared" si="33"/>
        <v>-52.133000000000266</v>
      </c>
      <c r="P99" s="56">
        <f>N99/M99*100</f>
        <v>84.20212121212113</v>
      </c>
      <c r="Q99" s="56">
        <f>N99-434.7</f>
        <v>-156.83300000000025</v>
      </c>
      <c r="R99" s="135">
        <f>N99/434.7</f>
        <v>0.6392155509546807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818</v>
      </c>
      <c r="G102" s="144"/>
      <c r="H102" s="146"/>
      <c r="I102" s="145"/>
      <c r="J102" s="145"/>
      <c r="K102" s="148">
        <f>F102-647.5</f>
        <v>170.5</v>
      </c>
      <c r="L102" s="149">
        <f>F102/647.5</f>
        <v>1.2633204633204633</v>
      </c>
      <c r="M102" s="40">
        <f>E102-вересень!E102</f>
        <v>0</v>
      </c>
      <c r="N102" s="40">
        <f>F102-вересень!F102</f>
        <v>60.799999999999955</v>
      </c>
      <c r="O102" s="53"/>
      <c r="P102" s="60"/>
      <c r="Q102" s="60">
        <f>N102-103.3</f>
        <v>-42.50000000000004</v>
      </c>
      <c r="R102" s="138">
        <f>N102/103.3</f>
        <v>0.5885769603097769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-45.18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20.32</v>
      </c>
      <c r="G105" s="49">
        <f>F105-E105</f>
        <v>-6.879999999999999</v>
      </c>
      <c r="H105" s="40">
        <f>F105/E105*100</f>
        <v>74.70588235294117</v>
      </c>
      <c r="I105" s="56">
        <f t="shared" si="34"/>
        <v>-24.68</v>
      </c>
      <c r="J105" s="56">
        <f aca="true" t="shared" si="36" ref="J105:J110">F105/D105*100</f>
        <v>45.15555555555555</v>
      </c>
      <c r="K105" s="56">
        <f>F105-17.2</f>
        <v>3.120000000000001</v>
      </c>
      <c r="L105" s="135">
        <f>F105/17.2</f>
        <v>1.1813953488372093</v>
      </c>
      <c r="M105" s="40">
        <f>E105-вересень!E105</f>
        <v>3</v>
      </c>
      <c r="N105" s="40">
        <f>F105-вересень!F105</f>
        <v>0.4200000000000017</v>
      </c>
      <c r="O105" s="53">
        <f t="shared" si="35"/>
        <v>-2.5799999999999983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375522.05999999994</v>
      </c>
      <c r="G107" s="175">
        <f>F107-E107</f>
        <v>-29205.27999999997</v>
      </c>
      <c r="H107" s="51">
        <f>F107/E107*100</f>
        <v>92.78396166663711</v>
      </c>
      <c r="I107" s="36">
        <f t="shared" si="34"/>
        <v>-131357.54000000004</v>
      </c>
      <c r="J107" s="36">
        <f t="shared" si="36"/>
        <v>74.0850608310139</v>
      </c>
      <c r="K107" s="36">
        <f>F107-397893.6</f>
        <v>-22371.540000000037</v>
      </c>
      <c r="L107" s="136">
        <f>F107/397893.6</f>
        <v>0.9437750695160715</v>
      </c>
      <c r="M107" s="22">
        <f>M8+M74+M105+M106</f>
        <v>41164.299999999974</v>
      </c>
      <c r="N107" s="22">
        <f>N8+N74+N105+N106</f>
        <v>17452.30699999999</v>
      </c>
      <c r="O107" s="55">
        <f t="shared" si="35"/>
        <v>-23711.992999999984</v>
      </c>
      <c r="P107" s="36">
        <f>N107/M107*100</f>
        <v>42.39670539763824</v>
      </c>
      <c r="Q107" s="36">
        <f>N107-39005.1</f>
        <v>-21552.79300000001</v>
      </c>
      <c r="R107" s="136">
        <f>N107/39005.1</f>
        <v>0.4474365403498514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298406.64</v>
      </c>
      <c r="G108" s="153">
        <f>G10-G18+G96</f>
        <v>-22203.959999999992</v>
      </c>
      <c r="H108" s="72">
        <f>F108/E108*100</f>
        <v>93.07447726307241</v>
      </c>
      <c r="I108" s="52">
        <f t="shared" si="34"/>
        <v>-89806.56</v>
      </c>
      <c r="J108" s="52">
        <f t="shared" si="36"/>
        <v>76.86669077712969</v>
      </c>
      <c r="K108" s="52">
        <f>F108-303111.5</f>
        <v>-4704.859999999986</v>
      </c>
      <c r="L108" s="137">
        <f>F108/303111.5</f>
        <v>0.9844781210874547</v>
      </c>
      <c r="M108" s="71">
        <f>M10-M18+M96</f>
        <v>32356.599999999977</v>
      </c>
      <c r="N108" s="71">
        <f>N10-N18+N96</f>
        <v>15010.579999999993</v>
      </c>
      <c r="O108" s="53">
        <f t="shared" si="35"/>
        <v>-17346.019999999982</v>
      </c>
      <c r="P108" s="52">
        <f>N108/M108*100</f>
        <v>46.391091771076084</v>
      </c>
      <c r="Q108" s="52">
        <f>N108-29552.7</f>
        <v>-14542.120000000008</v>
      </c>
      <c r="R108" s="137">
        <f>N108/29552.7</f>
        <v>0.5079258409553101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77115.41999999993</v>
      </c>
      <c r="G109" s="176">
        <f>F109-E109</f>
        <v>-7001.320000000007</v>
      </c>
      <c r="H109" s="72">
        <f>F109/E109*100</f>
        <v>91.67666269520191</v>
      </c>
      <c r="I109" s="52">
        <f t="shared" si="34"/>
        <v>-41550.98000000004</v>
      </c>
      <c r="J109" s="52">
        <f t="shared" si="36"/>
        <v>64.98505052820339</v>
      </c>
      <c r="K109" s="52">
        <f>F109-94782.1</f>
        <v>-17666.68000000008</v>
      </c>
      <c r="L109" s="137">
        <f>F109/94782.1</f>
        <v>0.8136074216545098</v>
      </c>
      <c r="M109" s="71">
        <f>M107-M108</f>
        <v>8807.699999999997</v>
      </c>
      <c r="N109" s="71">
        <f>N107-N108</f>
        <v>2441.726999999997</v>
      </c>
      <c r="O109" s="53">
        <f t="shared" si="35"/>
        <v>-6365.973</v>
      </c>
      <c r="P109" s="52">
        <f>N109/M109*100</f>
        <v>27.72264041690791</v>
      </c>
      <c r="Q109" s="52">
        <f>N109-9452.4</f>
        <v>-7010.6730000000025</v>
      </c>
      <c r="R109" s="137">
        <f>N109/9452.4</f>
        <v>0.25831820490034246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298406.64</v>
      </c>
      <c r="G110" s="111">
        <f>F110-E110</f>
        <v>-16834.059999999998</v>
      </c>
      <c r="H110" s="72">
        <f>F110/E110*100</f>
        <v>94.65993445643281</v>
      </c>
      <c r="I110" s="81">
        <f t="shared" si="34"/>
        <v>-89806.56</v>
      </c>
      <c r="J110" s="52">
        <f t="shared" si="36"/>
        <v>76.86669077712969</v>
      </c>
      <c r="K110" s="52"/>
      <c r="L110" s="137"/>
      <c r="M110" s="72">
        <f>E110-вересень!E110</f>
        <v>32356.600000000035</v>
      </c>
      <c r="N110" s="71">
        <f>N108</f>
        <v>15010.579999999993</v>
      </c>
      <c r="O110" s="63">
        <f t="shared" si="35"/>
        <v>-17346.02000000004</v>
      </c>
      <c r="P110" s="52">
        <f>N110/M110*100</f>
        <v>46.391091771076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1239.05</v>
      </c>
      <c r="G115" s="49">
        <f t="shared" si="37"/>
        <v>-1767.95</v>
      </c>
      <c r="H115" s="40">
        <f aca="true" t="shared" si="39" ref="H115:H126">F115/E115*100</f>
        <v>41.205520452278016</v>
      </c>
      <c r="I115" s="60">
        <f t="shared" si="38"/>
        <v>-2432.45</v>
      </c>
      <c r="J115" s="60">
        <f aca="true" t="shared" si="40" ref="J115:J121">F115/D115*100</f>
        <v>33.74778700803486</v>
      </c>
      <c r="K115" s="60">
        <f>F115-3128</f>
        <v>-1888.95</v>
      </c>
      <c r="L115" s="138">
        <f>F115/3128</f>
        <v>0.39611572890025576</v>
      </c>
      <c r="M115" s="40">
        <f>E115-вересень!E115</f>
        <v>327.4000000000001</v>
      </c>
      <c r="N115" s="40">
        <f>F115-вересень!F115</f>
        <v>116.11999999999989</v>
      </c>
      <c r="O115" s="53">
        <f aca="true" t="shared" si="41" ref="O115:O126">N115-M115</f>
        <v>-211.2800000000002</v>
      </c>
      <c r="P115" s="60">
        <f>N115/M115*100</f>
        <v>35.46731826511908</v>
      </c>
      <c r="Q115" s="60">
        <f>N115-50.4</f>
        <v>65.71999999999989</v>
      </c>
      <c r="R115" s="138">
        <f>N115/50.4</f>
        <v>2.303968253968252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260.03</v>
      </c>
      <c r="G116" s="49">
        <f t="shared" si="37"/>
        <v>37.52999999999997</v>
      </c>
      <c r="H116" s="40">
        <f t="shared" si="39"/>
        <v>116.86741573033707</v>
      </c>
      <c r="I116" s="60">
        <f t="shared" si="38"/>
        <v>-8.07000000000005</v>
      </c>
      <c r="J116" s="60">
        <f t="shared" si="40"/>
        <v>96.98992913092128</v>
      </c>
      <c r="K116" s="60">
        <f>F116-231.4</f>
        <v>28.629999999999967</v>
      </c>
      <c r="L116" s="138">
        <f>F116/231.4</f>
        <v>1.123725151253241</v>
      </c>
      <c r="M116" s="40">
        <f>E116-вересень!E116</f>
        <v>22</v>
      </c>
      <c r="N116" s="40">
        <f>F116-вересень!F116</f>
        <v>22.869999999999976</v>
      </c>
      <c r="O116" s="53">
        <f t="shared" si="41"/>
        <v>0.8699999999999761</v>
      </c>
      <c r="P116" s="60">
        <f>N116/M116*100</f>
        <v>103.95454545454534</v>
      </c>
      <c r="Q116" s="60">
        <f>N116-21.4</f>
        <v>1.4699999999999775</v>
      </c>
      <c r="R116" s="138">
        <f>N116/21.4</f>
        <v>1.0686915887850457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1499.04</v>
      </c>
      <c r="G117" s="62">
        <f t="shared" si="37"/>
        <v>-1730.46</v>
      </c>
      <c r="H117" s="72">
        <f t="shared" si="39"/>
        <v>46.4170924291686</v>
      </c>
      <c r="I117" s="61">
        <f t="shared" si="38"/>
        <v>-2440.56</v>
      </c>
      <c r="J117" s="61">
        <f t="shared" si="40"/>
        <v>38.05056350898568</v>
      </c>
      <c r="K117" s="61">
        <f>F117-33371</f>
        <v>-31871.96</v>
      </c>
      <c r="L117" s="139">
        <f>F117/3371</f>
        <v>0.4446870364876891</v>
      </c>
      <c r="M117" s="62">
        <f>M115+M116+M114</f>
        <v>349.4000000000001</v>
      </c>
      <c r="N117" s="38">
        <f>SUM(N114:N116)</f>
        <v>139.08999999999986</v>
      </c>
      <c r="O117" s="61">
        <f t="shared" si="41"/>
        <v>-210.31000000000023</v>
      </c>
      <c r="P117" s="61">
        <f>N117/M117*100</f>
        <v>39.80824270177442</v>
      </c>
      <c r="Q117" s="61">
        <f>N117-71.8</f>
        <v>67.28999999999986</v>
      </c>
      <c r="R117" s="139">
        <f>N117/71.8</f>
        <v>1.9371866295264606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322.89</v>
      </c>
      <c r="G119" s="49">
        <f t="shared" si="37"/>
        <v>62.389999999999986</v>
      </c>
      <c r="H119" s="40">
        <f t="shared" si="39"/>
        <v>123.95009596928983</v>
      </c>
      <c r="I119" s="60">
        <f t="shared" si="38"/>
        <v>55.69</v>
      </c>
      <c r="J119" s="60">
        <f t="shared" si="40"/>
        <v>120.84206586826348</v>
      </c>
      <c r="K119" s="60">
        <f>F119-234.2</f>
        <v>88.69</v>
      </c>
      <c r="L119" s="138">
        <f>F119/234.2</f>
        <v>1.3786934244235696</v>
      </c>
      <c r="M119" s="40">
        <f>E119-вересень!E119</f>
        <v>73</v>
      </c>
      <c r="N119" s="40">
        <f>F119-вересень!F119</f>
        <v>8.740000000000009</v>
      </c>
      <c r="O119" s="53">
        <f>N119-M119</f>
        <v>-64.25999999999999</v>
      </c>
      <c r="P119" s="60">
        <f>N119/M119*100</f>
        <v>11.97260273972604</v>
      </c>
      <c r="Q119" s="60">
        <f>N119-59.7</f>
        <v>-50.959999999999994</v>
      </c>
      <c r="R119" s="138">
        <f>N119/59.7</f>
        <v>0.1463986599664993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63214.71</v>
      </c>
      <c r="G120" s="49">
        <f t="shared" si="37"/>
        <v>3202.1100000000006</v>
      </c>
      <c r="H120" s="40">
        <f t="shared" si="39"/>
        <v>105.33572949680567</v>
      </c>
      <c r="I120" s="53">
        <f t="shared" si="38"/>
        <v>-8761.280000000006</v>
      </c>
      <c r="J120" s="60">
        <f t="shared" si="40"/>
        <v>87.82749636371796</v>
      </c>
      <c r="K120" s="60">
        <f>F120-58190.1</f>
        <v>5024.610000000001</v>
      </c>
      <c r="L120" s="138">
        <f>F120/58190.1</f>
        <v>1.0863481932493673</v>
      </c>
      <c r="M120" s="40">
        <f>E120-вересень!E120</f>
        <v>7500</v>
      </c>
      <c r="N120" s="40">
        <f>F120-вересень!F120</f>
        <v>3678.25</v>
      </c>
      <c r="O120" s="53">
        <f t="shared" si="41"/>
        <v>-3821.75</v>
      </c>
      <c r="P120" s="60">
        <f aca="true" t="shared" si="42" ref="P120:P125">N120/M120*100</f>
        <v>49.04333333333334</v>
      </c>
      <c r="Q120" s="60">
        <f>N120-7531</f>
        <v>-3852.75</v>
      </c>
      <c r="R120" s="138">
        <f>N120/7531</f>
        <v>0.48841455318018856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1754.76</v>
      </c>
      <c r="G121" s="49">
        <f t="shared" si="37"/>
        <v>-1444.64</v>
      </c>
      <c r="H121" s="40">
        <f t="shared" si="39"/>
        <v>54.846533725073456</v>
      </c>
      <c r="I121" s="60">
        <f t="shared" si="38"/>
        <v>-2995.24</v>
      </c>
      <c r="J121" s="60">
        <f t="shared" si="40"/>
        <v>36.94231578947368</v>
      </c>
      <c r="K121" s="60">
        <f>F121-1289.6</f>
        <v>465.1600000000001</v>
      </c>
      <c r="L121" s="138">
        <f>F121/1289.6</f>
        <v>1.3607009925558313</v>
      </c>
      <c r="M121" s="40">
        <f>E121-вересень!E121</f>
        <v>1476.4</v>
      </c>
      <c r="N121" s="40">
        <f>F121-вересень!F121</f>
        <v>0.029999999999972715</v>
      </c>
      <c r="O121" s="53">
        <f t="shared" si="41"/>
        <v>-1476.3700000000001</v>
      </c>
      <c r="P121" s="60">
        <f t="shared" si="42"/>
        <v>0.002031969655917957</v>
      </c>
      <c r="Q121" s="60">
        <f>N121-0</f>
        <v>0.029999999999972715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2643.85</v>
      </c>
      <c r="G122" s="49">
        <f t="shared" si="37"/>
        <v>-14932.38</v>
      </c>
      <c r="H122" s="40">
        <f t="shared" si="39"/>
        <v>15.042190503879388</v>
      </c>
      <c r="I122" s="60">
        <f t="shared" si="38"/>
        <v>-20433.280000000002</v>
      </c>
      <c r="J122" s="60">
        <f>F122/D122*100</f>
        <v>11.4565806059939</v>
      </c>
      <c r="K122" s="60">
        <f>F122-22665.8</f>
        <v>-20021.95</v>
      </c>
      <c r="L122" s="138">
        <f>F122/22665.8</f>
        <v>0.11664490112857256</v>
      </c>
      <c r="M122" s="40">
        <f>E122-вересень!E122</f>
        <v>4648.800000000001</v>
      </c>
      <c r="N122" s="40">
        <f>F122-вересень!F122</f>
        <v>250.61000000000013</v>
      </c>
      <c r="O122" s="53">
        <f t="shared" si="41"/>
        <v>-4398.1900000000005</v>
      </c>
      <c r="P122" s="60">
        <f t="shared" si="42"/>
        <v>5.390853553605233</v>
      </c>
      <c r="Q122" s="60">
        <f>N122-361.9</f>
        <v>-111.28999999999985</v>
      </c>
      <c r="R122" s="138">
        <f>N122/361.9</f>
        <v>0.6924841116330482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1110.6</v>
      </c>
      <c r="G123" s="49">
        <f t="shared" si="37"/>
        <v>-510.21000000000004</v>
      </c>
      <c r="H123" s="40">
        <f t="shared" si="39"/>
        <v>68.52129490810151</v>
      </c>
      <c r="I123" s="60">
        <f t="shared" si="38"/>
        <v>-889.4000000000001</v>
      </c>
      <c r="J123" s="60">
        <f>F123/D123*100</f>
        <v>55.52999999999999</v>
      </c>
      <c r="K123" s="60">
        <f>F123-1722.8</f>
        <v>-612.2</v>
      </c>
      <c r="L123" s="138">
        <f>F123/1722.8</f>
        <v>0.6446482470397028</v>
      </c>
      <c r="M123" s="40">
        <f>E123-вересень!E123</f>
        <v>189.58999999999992</v>
      </c>
      <c r="N123" s="40">
        <f>F123-вересень!F123</f>
        <v>35.68999999999983</v>
      </c>
      <c r="O123" s="53">
        <f t="shared" si="41"/>
        <v>-153.9000000000001</v>
      </c>
      <c r="P123" s="60">
        <f t="shared" si="42"/>
        <v>18.824832533361384</v>
      </c>
      <c r="Q123" s="60">
        <f>N123-62.5</f>
        <v>-26.810000000000173</v>
      </c>
      <c r="R123" s="138">
        <f>N123/62.5</f>
        <v>0.5710399999999972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69046.81000000001</v>
      </c>
      <c r="G124" s="62">
        <f t="shared" si="37"/>
        <v>-13622.729999999981</v>
      </c>
      <c r="H124" s="72">
        <f t="shared" si="39"/>
        <v>83.52146389105349</v>
      </c>
      <c r="I124" s="61">
        <f t="shared" si="38"/>
        <v>-33023.509999999995</v>
      </c>
      <c r="J124" s="61">
        <f>F124/D124*100</f>
        <v>67.64631481511962</v>
      </c>
      <c r="K124" s="61">
        <f>F124-84102.5</f>
        <v>-15055.689999999988</v>
      </c>
      <c r="L124" s="139">
        <f>F124/84102.5</f>
        <v>0.8209840373353945</v>
      </c>
      <c r="M124" s="62">
        <f>M120+M121+M122+M123+M119</f>
        <v>13887.79</v>
      </c>
      <c r="N124" s="62">
        <f>N120+N121+N122+N123+N119</f>
        <v>3973.3199999999997</v>
      </c>
      <c r="O124" s="61">
        <f t="shared" si="41"/>
        <v>-9914.470000000001</v>
      </c>
      <c r="P124" s="61">
        <f t="shared" si="42"/>
        <v>28.61016763646339</v>
      </c>
      <c r="Q124" s="61">
        <f>N124-8015.1</f>
        <v>-4041.7800000000007</v>
      </c>
      <c r="R124" s="139">
        <f>N124/8015.1</f>
        <v>0.49572931092562783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25.67</v>
      </c>
      <c r="G125" s="49">
        <f t="shared" si="37"/>
        <v>-5.489999999999998</v>
      </c>
      <c r="H125" s="40">
        <f t="shared" si="39"/>
        <v>82.38125802310655</v>
      </c>
      <c r="I125" s="60">
        <f t="shared" si="38"/>
        <v>-17.83</v>
      </c>
      <c r="J125" s="60">
        <f>F125/D125*100</f>
        <v>59.01149425287356</v>
      </c>
      <c r="K125" s="60">
        <f>F125-114</f>
        <v>-88.33</v>
      </c>
      <c r="L125" s="138">
        <f>F125/114</f>
        <v>0.22517543859649125</v>
      </c>
      <c r="M125" s="40">
        <f>E125-вересень!E125</f>
        <v>4</v>
      </c>
      <c r="N125" s="40">
        <f>F125-вересень!F125</f>
        <v>1.5</v>
      </c>
      <c r="O125" s="53">
        <f t="shared" si="41"/>
        <v>-2.5</v>
      </c>
      <c r="P125" s="60">
        <f t="shared" si="42"/>
        <v>37.5</v>
      </c>
      <c r="Q125" s="60">
        <f>N125-2.2</f>
        <v>-0.7000000000000002</v>
      </c>
      <c r="R125" s="138">
        <f>N125/2.2</f>
        <v>0.6818181818181818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7373.95</v>
      </c>
      <c r="G128" s="49">
        <f aca="true" t="shared" si="43" ref="G128:G135">F128-E128</f>
        <v>653.4499999999998</v>
      </c>
      <c r="H128" s="40">
        <f>F128/E128*100</f>
        <v>109.72323487835726</v>
      </c>
      <c r="I128" s="60">
        <f aca="true" t="shared" si="44" ref="I128:I135">F128-D128</f>
        <v>-1326.0500000000002</v>
      </c>
      <c r="J128" s="60">
        <f>F128/D128*100</f>
        <v>84.75804597701149</v>
      </c>
      <c r="K128" s="60">
        <f>F128-8728.7</f>
        <v>-1354.750000000001</v>
      </c>
      <c r="L128" s="138">
        <f>F128/8728.7</f>
        <v>0.8447936118780573</v>
      </c>
      <c r="M128" s="40">
        <f>E128-вересень!E128</f>
        <v>2</v>
      </c>
      <c r="N128" s="40">
        <f>F128-вересень!F128</f>
        <v>5.069999999999709</v>
      </c>
      <c r="O128" s="53">
        <f aca="true" t="shared" si="45" ref="O128:O135">N128-M128</f>
        <v>3.069999999999709</v>
      </c>
      <c r="P128" s="60">
        <f>N128/M128*100</f>
        <v>253.49999999998545</v>
      </c>
      <c r="Q128" s="60">
        <f>N128-13.5</f>
        <v>-8.430000000000291</v>
      </c>
      <c r="R128" s="162">
        <f>N128/13.5</f>
        <v>0.375555555555534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1.12</v>
      </c>
      <c r="G129" s="49">
        <f t="shared" si="43"/>
        <v>1.12</v>
      </c>
      <c r="H129" s="40"/>
      <c r="I129" s="60">
        <f t="shared" si="44"/>
        <v>1.12</v>
      </c>
      <c r="J129" s="60"/>
      <c r="K129" s="60">
        <f>F129-1.1</f>
        <v>0.020000000000000018</v>
      </c>
      <c r="L129" s="138">
        <f>F129/1.1</f>
        <v>1.0181818181818183</v>
      </c>
      <c r="M129" s="40">
        <f>E129-вересень!E129</f>
        <v>0</v>
      </c>
      <c r="N129" s="40">
        <f>F129-вересень!F129</f>
        <v>0.040000000000000036</v>
      </c>
      <c r="O129" s="53">
        <f t="shared" si="45"/>
        <v>0.040000000000000036</v>
      </c>
      <c r="P129" s="60"/>
      <c r="Q129" s="60">
        <f>N129-0.1</f>
        <v>-0.05999999999999997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7420.219999999999</v>
      </c>
      <c r="G130" s="62">
        <f t="shared" si="43"/>
        <v>661.3599999999997</v>
      </c>
      <c r="H130" s="72">
        <f>F130/E130*100</f>
        <v>109.78508209964401</v>
      </c>
      <c r="I130" s="61">
        <f t="shared" si="44"/>
        <v>-1330.4800000000014</v>
      </c>
      <c r="J130" s="61">
        <f>F130/D130*100</f>
        <v>84.79573062726409</v>
      </c>
      <c r="K130" s="61">
        <f>F130-8860.9</f>
        <v>-1440.6800000000003</v>
      </c>
      <c r="L130" s="139">
        <f>G130/8860.9</f>
        <v>0.07463801645431048</v>
      </c>
      <c r="M130" s="62">
        <f>M125+M128+M129+M127</f>
        <v>6</v>
      </c>
      <c r="N130" s="62">
        <f>N125+N128+N129+N127</f>
        <v>6.609999999999709</v>
      </c>
      <c r="O130" s="61">
        <f t="shared" si="45"/>
        <v>0.609999999999709</v>
      </c>
      <c r="P130" s="61">
        <f>N130/M130*100</f>
        <v>110.16666666666181</v>
      </c>
      <c r="Q130" s="61">
        <f>N130-24.5</f>
        <v>-17.890000000000292</v>
      </c>
      <c r="R130" s="137">
        <f>N130/24.5</f>
        <v>0.2697959183673351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32.63</v>
      </c>
      <c r="G131" s="49">
        <f>F131-E131</f>
        <v>8.780000000000001</v>
      </c>
      <c r="H131" s="40">
        <f>F131/E131*100</f>
        <v>136.81341719077568</v>
      </c>
      <c r="I131" s="60">
        <f>F131-D131</f>
        <v>2.6300000000000026</v>
      </c>
      <c r="J131" s="60">
        <f>F131/D131*100</f>
        <v>108.76666666666668</v>
      </c>
      <c r="K131" s="60">
        <f>F131-28</f>
        <v>4.630000000000003</v>
      </c>
      <c r="L131" s="138">
        <f>F131/28</f>
        <v>1.165357142857143</v>
      </c>
      <c r="M131" s="40">
        <f>E131-вересень!E131</f>
        <v>0.40000000000000213</v>
      </c>
      <c r="N131" s="40">
        <f>F131-вересень!F131</f>
        <v>0.7700000000000031</v>
      </c>
      <c r="O131" s="53">
        <f>N131-M131</f>
        <v>0.370000000000001</v>
      </c>
      <c r="P131" s="60">
        <f>N131/M131*100</f>
        <v>192.49999999999977</v>
      </c>
      <c r="Q131" s="60">
        <f>N131-2.6</f>
        <v>-1.829999999999997</v>
      </c>
      <c r="R131" s="138">
        <f>N131/2.6</f>
        <v>0.2961538461538473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77998.70000000001</v>
      </c>
      <c r="G134" s="50">
        <f t="shared" si="43"/>
        <v>-14683.049999999988</v>
      </c>
      <c r="H134" s="51">
        <f>F134/E134*100</f>
        <v>84.1575606848166</v>
      </c>
      <c r="I134" s="36">
        <f t="shared" si="44"/>
        <v>-36791.92</v>
      </c>
      <c r="J134" s="36">
        <f>F134/D134*100</f>
        <v>67.94867037045363</v>
      </c>
      <c r="K134" s="36">
        <f>F134-96362.3</f>
        <v>-18363.59999999999</v>
      </c>
      <c r="L134" s="136">
        <f>F134/96362.3</f>
        <v>0.8094316968357959</v>
      </c>
      <c r="M134" s="31">
        <f>M117+M131+M124+M130+M133+M132</f>
        <v>14243.59</v>
      </c>
      <c r="N134" s="31">
        <f>N117+N131+N124+N130+N133+N132</f>
        <v>4119.789999999999</v>
      </c>
      <c r="O134" s="36">
        <f t="shared" si="45"/>
        <v>-10123.800000000001</v>
      </c>
      <c r="P134" s="36">
        <f>N134/M134*100</f>
        <v>28.92381766113739</v>
      </c>
      <c r="Q134" s="36">
        <f>N134-8114</f>
        <v>-3994.210000000001</v>
      </c>
      <c r="R134" s="136">
        <f>N134/8114</f>
        <v>0.5077384767069262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453520.75999999995</v>
      </c>
      <c r="G135" s="50">
        <f t="shared" si="43"/>
        <v>-43888.32999999996</v>
      </c>
      <c r="H135" s="51">
        <f>F135/E135*100</f>
        <v>91.1766127957171</v>
      </c>
      <c r="I135" s="36">
        <f t="shared" si="44"/>
        <v>-168149.46000000002</v>
      </c>
      <c r="J135" s="36">
        <f>F135/D135*100</f>
        <v>72.95198409214454</v>
      </c>
      <c r="K135" s="36">
        <f>F135-494255.9</f>
        <v>-40735.14000000007</v>
      </c>
      <c r="L135" s="136">
        <f>F135/494255.9</f>
        <v>0.9175828958238029</v>
      </c>
      <c r="M135" s="22">
        <f>M107+M134</f>
        <v>55407.88999999997</v>
      </c>
      <c r="N135" s="22">
        <f>N107+N134</f>
        <v>21572.096999999987</v>
      </c>
      <c r="O135" s="36">
        <f t="shared" si="45"/>
        <v>-33835.79299999998</v>
      </c>
      <c r="P135" s="36">
        <f>N135/M135*100</f>
        <v>38.933258422221094</v>
      </c>
      <c r="Q135" s="36">
        <f>N135-47119.1</f>
        <v>-25547.00300000001</v>
      </c>
      <c r="R135" s="136">
        <f>N135/47119.1</f>
        <v>0.45782065022464324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12</v>
      </c>
      <c r="D137" s="4" t="s">
        <v>118</v>
      </c>
    </row>
    <row r="138" spans="2:17" ht="31.5">
      <c r="B138" s="78" t="s">
        <v>154</v>
      </c>
      <c r="C138" s="39">
        <f>IF(O107&lt;0,ABS(O107/C137),0)</f>
        <v>1975.9994166666654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41927</v>
      </c>
      <c r="D139" s="39">
        <v>3086.9</v>
      </c>
      <c r="N139" s="194"/>
      <c r="O139" s="194"/>
    </row>
    <row r="140" spans="3:15" ht="15.75">
      <c r="C140" s="120">
        <v>41926</v>
      </c>
      <c r="D140" s="39">
        <v>1319.8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41925</v>
      </c>
      <c r="D141" s="39">
        <v>595.1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115083.67672</v>
      </c>
      <c r="E143" s="80"/>
      <c r="F143" s="100" t="s">
        <v>147</v>
      </c>
      <c r="G143" s="190" t="s">
        <v>149</v>
      </c>
      <c r="H143" s="190"/>
      <c r="I143" s="116">
        <v>106063.08019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21519.246939999997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11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757.2</v>
      </c>
      <c r="G102" s="144"/>
      <c r="H102" s="146"/>
      <c r="I102" s="145"/>
      <c r="J102" s="145"/>
      <c r="K102" s="148">
        <f>F102-545.2</f>
        <v>212</v>
      </c>
      <c r="L102" s="149">
        <f>F102/545.2</f>
        <v>1.388848129126926</v>
      </c>
      <c r="M102" s="40">
        <f>E102-серпень!E102</f>
        <v>0</v>
      </c>
      <c r="N102" s="40">
        <f>F102-серпень!F102</f>
        <v>121.40000000000009</v>
      </c>
      <c r="O102" s="53"/>
      <c r="P102" s="60"/>
      <c r="Q102" s="60">
        <f>N102-124.1</f>
        <v>-2.6999999999999034</v>
      </c>
      <c r="R102" s="138">
        <f>N102/124.1</f>
        <v>0.9782433521353755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21519.246939999997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2014-10-16T08:25:13Z</cp:lastPrinted>
  <dcterms:created xsi:type="dcterms:W3CDTF">2003-07-28T11:27:56Z</dcterms:created>
  <dcterms:modified xsi:type="dcterms:W3CDTF">2014-10-16T08:35:16Z</dcterms:modified>
  <cp:category/>
  <cp:version/>
  <cp:contentType/>
  <cp:contentStatus/>
</cp:coreProperties>
</file>